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715" yWindow="795" windowWidth="22545" windowHeight="16440"/>
  </bookViews>
  <sheets>
    <sheet name="concepts" sheetId="1" r:id="rId1"/>
    <sheet name="log grades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7" i="1" l="1"/>
  <c r="D74" i="1"/>
  <c r="D73" i="1"/>
  <c r="D68" i="1"/>
  <c r="D71" i="1"/>
  <c r="D72" i="1"/>
  <c r="F79" i="1"/>
  <c r="D60" i="1"/>
  <c r="D61" i="1"/>
  <c r="D62" i="1"/>
  <c r="D63" i="1"/>
  <c r="F65" i="1"/>
  <c r="D18" i="1"/>
  <c r="D11" i="1"/>
  <c r="D13" i="1"/>
  <c r="D15" i="1"/>
  <c r="D19" i="1"/>
  <c r="D21" i="1"/>
  <c r="F21" i="1"/>
  <c r="D23" i="1"/>
  <c r="F23" i="1"/>
  <c r="F24" i="1"/>
  <c r="F27" i="1"/>
  <c r="F29" i="1"/>
  <c r="F30" i="1"/>
  <c r="F31" i="1"/>
  <c r="D40" i="1"/>
  <c r="D36" i="1"/>
  <c r="D38" i="1"/>
  <c r="D41" i="1"/>
  <c r="D42" i="1"/>
  <c r="F42" i="1"/>
  <c r="D43" i="1"/>
  <c r="F43" i="1"/>
  <c r="F44" i="1"/>
  <c r="F47" i="1"/>
  <c r="F49" i="1"/>
  <c r="F50" i="1"/>
  <c r="F51" i="1"/>
  <c r="F53" i="1"/>
  <c r="F83" i="1"/>
  <c r="C74" i="1"/>
  <c r="C73" i="1"/>
  <c r="H44" i="1"/>
  <c r="H24" i="1"/>
  <c r="L3" i="1"/>
  <c r="M3" i="1"/>
  <c r="C38" i="1"/>
  <c r="L4" i="1"/>
  <c r="R26" i="1"/>
  <c r="R6" i="1"/>
  <c r="F25" i="1"/>
  <c r="F45" i="1"/>
</calcChain>
</file>

<file path=xl/sharedStrings.xml><?xml version="1.0" encoding="utf-8"?>
<sst xmlns="http://schemas.openxmlformats.org/spreadsheetml/2006/main" count="154" uniqueCount="123">
  <si>
    <t>Gold Creek Restoration Alternatives:</t>
  </si>
  <si>
    <t>Floodplain Restoration</t>
  </si>
  <si>
    <t>channel length =</t>
  </si>
  <si>
    <t>In-stream Habitat Restoration</t>
  </si>
  <si>
    <t>d/s RM =</t>
  </si>
  <si>
    <t>u/s RM =</t>
  </si>
  <si>
    <t>channel length above Pond =</t>
  </si>
  <si>
    <t>total length =</t>
  </si>
  <si>
    <t>length d/s to bridge =</t>
  </si>
  <si>
    <t>private inholding =</t>
  </si>
  <si>
    <t>subtotal =</t>
  </si>
  <si>
    <t>new floodplain ave, width =</t>
  </si>
  <si>
    <t>Gold Creek restored floodplain reference photos (July j10, 2012)</t>
  </si>
  <si>
    <t>Lower Gold Creek (below Gold Creek Pond)</t>
  </si>
  <si>
    <t>Upper Gold Creek (above Heli's Pond)</t>
  </si>
  <si>
    <t>21 trees / 13,456 ft2</t>
  </si>
  <si>
    <t>=</t>
  </si>
  <si>
    <t>trees/acre</t>
  </si>
  <si>
    <t>23 trees / 13,824 ft2</t>
  </si>
  <si>
    <t>log continguency =</t>
  </si>
  <si>
    <t>total trees =</t>
  </si>
  <si>
    <t>total area (acres) =</t>
  </si>
  <si>
    <t>total # of posts =</t>
  </si>
  <si>
    <t>total trees/acre =</t>
  </si>
  <si>
    <t>min. # of trees/acre =</t>
  </si>
  <si>
    <t># logs to substitute 1 tree =</t>
  </si>
  <si>
    <t>total number of logs needed  =</t>
  </si>
  <si>
    <t>log cost =</t>
  </si>
  <si>
    <t>COST</t>
  </si>
  <si>
    <t>post cost =</t>
  </si>
  <si>
    <t>length (ft)</t>
  </si>
  <si>
    <t>dia. (ft)</t>
  </si>
  <si>
    <t>channel width =</t>
  </si>
  <si>
    <t># trees / acre =</t>
  </si>
  <si>
    <t># trees / ft =</t>
  </si>
  <si>
    <t>total # of trees =</t>
  </si>
  <si>
    <t>total # of logs =</t>
  </si>
  <si>
    <t xml:space="preserve">posts per log = </t>
  </si>
  <si>
    <t>vol. (BF)</t>
  </si>
  <si>
    <t>1 Board Foot (BF) =</t>
  </si>
  <si>
    <t>cubic in.</t>
  </si>
  <si>
    <t>low cost</t>
  </si>
  <si>
    <t>high cost</t>
  </si>
  <si>
    <t>http://www.oregon.gov/odf/pages/state_forests/timber_sales/logpdef.aspx</t>
  </si>
  <si>
    <t xml:space="preserve">Log Costs  </t>
  </si>
  <si>
    <t>Oregon Department of Forestry:</t>
  </si>
  <si>
    <t>Low</t>
  </si>
  <si>
    <t>per 1000 board feet (MBF)</t>
  </si>
  <si>
    <t>High</t>
  </si>
  <si>
    <t>1P</t>
  </si>
  <si>
    <t>No. 1</t>
  </si>
  <si>
    <t>Peeler  (Plywood veneers; clear, uniform-colored, face stock veneer - 50%)</t>
  </si>
  <si>
    <t>2P</t>
  </si>
  <si>
    <t>No. 2</t>
  </si>
  <si>
    <t>Peeler  (Plywood veneers; clear, uniform-colored, face stock veneer - 35%)</t>
  </si>
  <si>
    <t>3P</t>
  </si>
  <si>
    <t>No. 3</t>
  </si>
  <si>
    <t>Peeler  (Plywood veneers; veneer center core, cross core, backs and better)</t>
  </si>
  <si>
    <t>SM</t>
  </si>
  <si>
    <t>Special Mill  (Logs suitable for the manufacture of Select Merchantable &amp; Better lumber grades - 65% or veneer center core, cross core, backs and better - 100%)</t>
  </si>
  <si>
    <t>2S</t>
  </si>
  <si>
    <t>Sawmill DF  (Logs suitable for the manufacture of Construction &amp; Better lumber grades - 65%)</t>
  </si>
  <si>
    <t>3S</t>
  </si>
  <si>
    <t>Sawmill DF  (Logs suitable for the manufacture of Standard &amp; Better lumber grades - 33%)</t>
  </si>
  <si>
    <t>4S</t>
  </si>
  <si>
    <t>No. 4</t>
  </si>
  <si>
    <t>Sawmill DF  (Logs not quite suitable for the manufacture of Construction &amp; Better lumber grades - 33%)</t>
  </si>
  <si>
    <t>1S</t>
  </si>
  <si>
    <t>Sawmill Pine  (Old growth logs suitable for the manufacture of D Select &amp; Better lumber grades - 50%)</t>
  </si>
  <si>
    <t>Sawmill Pine  (Old growth logs suitable for the manufacture of D Select &amp; Better lumber grades - 35%)</t>
  </si>
  <si>
    <t>Sawmill Pine  (Old growth logs suitable for the manufacture of No. 2 Shop &amp; Better lumber grades - 50%)</t>
  </si>
  <si>
    <t>Sawmill Pine  (Logs suitable for the manufacture of No. 2 Common &amp; Better lumber grades - 50%)</t>
  </si>
  <si>
    <t>5S</t>
  </si>
  <si>
    <t>No. 5S</t>
  </si>
  <si>
    <t>sawmill Pine  (Logs 6" diameter suitable for the manufacture of No. 3 Common &amp; Better lumber grades - 33%)</t>
  </si>
  <si>
    <t>6S</t>
  </si>
  <si>
    <t>No. 6</t>
  </si>
  <si>
    <t>Sawmill Pine  (Logs 5" diameter suitable for the manufacture of No. 3 Common &amp; better lumber grades - 33%)</t>
  </si>
  <si>
    <t>SC</t>
  </si>
  <si>
    <t>Special Peelable Cull (Logs that do not meet the minimum for Peeler or Sawlog grades,but are suitable for rotary cutting of Firm White Speck and Better veneer - 50%)</t>
  </si>
  <si>
    <t>Utility</t>
  </si>
  <si>
    <t>Utility Grade  (Logs that do not meet the minimum for Peeler or Sawlog grades, but are suitable for the production of firm usable chips - 50%)</t>
  </si>
  <si>
    <t>CR</t>
  </si>
  <si>
    <t>Camp Run  (Log production from the forest of the species or group of species being logged, that are better than Cull grade)</t>
  </si>
  <si>
    <t xml:space="preserve">Utility Grade  (Suitable for reducing into wood fiber for use in the manufacture of paper and paper products; usually wood that is too small, of inferior quality, or the wrong species to be used for lumber or plywood) </t>
  </si>
  <si>
    <t>Pulp</t>
  </si>
  <si>
    <r>
      <t>Wormy Cedar Logs  (Not meeting requirements of 4S because of excessive worm</t>
    </r>
    <r>
      <rPr>
        <sz val="12"/>
        <color rgb="FF000000"/>
        <rFont val="Times New Roman"/>
        <family val="1"/>
      </rPr>
      <t xml:space="preserve"> holes)</t>
    </r>
  </si>
  <si>
    <t>Wormy</t>
  </si>
  <si>
    <t>total</t>
  </si>
  <si>
    <t xml:space="preserve">for </t>
  </si>
  <si>
    <t>miles</t>
  </si>
  <si>
    <t>cost per mile =</t>
  </si>
  <si>
    <t>general construciton costs =</t>
  </si>
  <si>
    <t>continguency cost =</t>
  </si>
  <si>
    <t>% continguency =</t>
  </si>
  <si>
    <t>TOTAL =</t>
  </si>
  <si>
    <t>Stream and Floodplain =</t>
  </si>
  <si>
    <t>cost per log placement =</t>
  </si>
  <si>
    <t>Gold Creek Pond Restoration</t>
  </si>
  <si>
    <t>acres</t>
  </si>
  <si>
    <t>average depth</t>
  </si>
  <si>
    <t>Heli's Pond Restoration</t>
  </si>
  <si>
    <t>Fill Volume</t>
  </si>
  <si>
    <t>Unit fill cost:</t>
  </si>
  <si>
    <t>Grading</t>
  </si>
  <si>
    <t>Planting</t>
  </si>
  <si>
    <t>unit trail costs:</t>
  </si>
  <si>
    <t>on dry land</t>
  </si>
  <si>
    <t>boardwalk</t>
  </si>
  <si>
    <t>per ft</t>
  </si>
  <si>
    <t>per cubic yard delivered</t>
  </si>
  <si>
    <t>sq.ft</t>
  </si>
  <si>
    <t>Fill volume (cubic yards)</t>
  </si>
  <si>
    <t>unit planting costs</t>
  </si>
  <si>
    <t>per acre</t>
  </si>
  <si>
    <t xml:space="preserve">unit grading costs </t>
  </si>
  <si>
    <t>ft</t>
  </si>
  <si>
    <t>CY</t>
  </si>
  <si>
    <t>Trail Length (LF)</t>
  </si>
  <si>
    <t>50% boardwalk trail</t>
  </si>
  <si>
    <t>FILL POND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</si>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</sst>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9" fontId="0" fillId="0" borderId="0" xfId="2" applyFont="1"/>
    <xf numFmtId="165" fontId="0" fillId="0" borderId="0" xfId="1" applyNumberFormat="1" applyFont="1"/>
    <xf numFmtId="1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0" fontId="6" fillId="0" borderId="0" xfId="0" applyFont="1" applyAlignment="1">
      <alignment vertical="center"/>
    </xf>
    <xf numFmtId="44" fontId="0" fillId="0" borderId="0" xfId="0" applyNumberFormat="1"/>
    <xf numFmtId="44" fontId="0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72071</xdr:colOff>
      <xdr:row>6</xdr:row>
      <xdr:rowOff>57149</xdr:rowOff>
    </xdr:from>
    <xdr:to>
      <xdr:col>22</xdr:col>
      <xdr:colOff>517188</xdr:colOff>
      <xdr:row>23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7121" y="1209674"/>
          <a:ext cx="5321917" cy="3295651"/>
        </a:xfrm>
        <a:prstGeom prst="rect">
          <a:avLst/>
        </a:prstGeom>
      </xdr:spPr>
    </xdr:pic>
    <xdr:clientData/>
  </xdr:twoCellAnchor>
  <xdr:twoCellAnchor editAs="oneCell">
    <xdr:from>
      <xdr:col>14</xdr:col>
      <xdr:colOff>43084</xdr:colOff>
      <xdr:row>26</xdr:row>
      <xdr:rowOff>104775</xdr:rowOff>
    </xdr:from>
    <xdr:to>
      <xdr:col>22</xdr:col>
      <xdr:colOff>533399</xdr:colOff>
      <xdr:row>43</xdr:row>
      <xdr:rowOff>161340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8134" y="5114925"/>
          <a:ext cx="5367115" cy="3323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83"/>
  <sheetViews>
    <sheetView tabSelected="1" workbookViewId="0">
      <selection activeCell="L54" sqref="L54"/>
    </sheetView>
  </sheetViews>
  <sheetFormatPr defaultColWidth="8.85546875" defaultRowHeight="15" x14ac:dyDescent="0.25"/>
  <cols>
    <col min="1" max="1" width="2.7109375" customWidth="1"/>
    <col min="2" max="2" width="4.42578125" customWidth="1"/>
    <col min="3" max="3" width="29.42578125" customWidth="1"/>
    <col min="4" max="4" width="13.140625" bestFit="1" customWidth="1"/>
    <col min="6" max="6" width="19.42578125" customWidth="1"/>
    <col min="8" max="8" width="11.28515625" customWidth="1"/>
    <col min="9" max="9" width="8" customWidth="1"/>
    <col min="10" max="10" width="11" customWidth="1"/>
    <col min="11" max="11" width="13" customWidth="1"/>
  </cols>
  <sheetData>
    <row r="2" spans="3:19" x14ac:dyDescent="0.25">
      <c r="C2" t="s">
        <v>0</v>
      </c>
      <c r="J2" t="s">
        <v>30</v>
      </c>
      <c r="K2" t="s">
        <v>31</v>
      </c>
      <c r="L2" t="s">
        <v>38</v>
      </c>
      <c r="M2" t="s">
        <v>41</v>
      </c>
      <c r="N2" t="s">
        <v>42</v>
      </c>
    </row>
    <row r="3" spans="3:19" x14ac:dyDescent="0.25">
      <c r="C3" s="1">
        <v>41694</v>
      </c>
      <c r="H3" t="s">
        <v>27</v>
      </c>
      <c r="I3" s="11">
        <v>200</v>
      </c>
      <c r="J3">
        <v>35</v>
      </c>
      <c r="K3">
        <v>2</v>
      </c>
      <c r="L3" s="12">
        <f>PI()*(K3/2)^2*J3</f>
        <v>109.95574287564276</v>
      </c>
      <c r="M3" s="16">
        <f>(L3/1000)*H12</f>
        <v>13.744467859455344</v>
      </c>
    </row>
    <row r="4" spans="3:19" x14ac:dyDescent="0.25">
      <c r="H4" t="s">
        <v>29</v>
      </c>
      <c r="I4" s="11">
        <v>30</v>
      </c>
      <c r="J4">
        <v>15</v>
      </c>
      <c r="K4">
        <v>1</v>
      </c>
      <c r="L4" s="12">
        <f>PI()*(K4/2)^2*J4</f>
        <v>11.780972450961723</v>
      </c>
      <c r="O4" t="s">
        <v>12</v>
      </c>
    </row>
    <row r="5" spans="3:19" x14ac:dyDescent="0.25">
      <c r="O5" t="s">
        <v>14</v>
      </c>
    </row>
    <row r="6" spans="3:19" ht="15.75" x14ac:dyDescent="0.25">
      <c r="C6" s="3" t="s">
        <v>1</v>
      </c>
      <c r="F6" t="s">
        <v>28</v>
      </c>
      <c r="I6" s="14" t="s">
        <v>39</v>
      </c>
      <c r="J6">
        <v>144</v>
      </c>
      <c r="K6" t="s">
        <v>40</v>
      </c>
      <c r="O6" t="s">
        <v>15</v>
      </c>
      <c r="Q6" s="7" t="s">
        <v>16</v>
      </c>
      <c r="R6" s="9">
        <f>21/0.3089</f>
        <v>67.983166073162835</v>
      </c>
      <c r="S6" t="s">
        <v>17</v>
      </c>
    </row>
    <row r="7" spans="3:19" ht="15.75" x14ac:dyDescent="0.25">
      <c r="C7" s="2" t="s">
        <v>4</v>
      </c>
    </row>
    <row r="8" spans="3:19" ht="15.75" x14ac:dyDescent="0.25">
      <c r="C8" s="2" t="s">
        <v>5</v>
      </c>
      <c r="H8" t="s">
        <v>44</v>
      </c>
    </row>
    <row r="9" spans="3:19" x14ac:dyDescent="0.25">
      <c r="C9" t="s">
        <v>6</v>
      </c>
      <c r="D9">
        <v>6518</v>
      </c>
      <c r="H9" t="s">
        <v>45</v>
      </c>
    </row>
    <row r="10" spans="3:19" x14ac:dyDescent="0.25">
      <c r="C10" t="s">
        <v>8</v>
      </c>
      <c r="D10">
        <v>3736</v>
      </c>
      <c r="H10" t="s">
        <v>43</v>
      </c>
    </row>
    <row r="11" spans="3:19" x14ac:dyDescent="0.25">
      <c r="C11" s="4" t="s">
        <v>10</v>
      </c>
      <c r="D11">
        <f>D9+D10</f>
        <v>10254</v>
      </c>
      <c r="H11" t="s">
        <v>46</v>
      </c>
      <c r="I11" t="s">
        <v>48</v>
      </c>
    </row>
    <row r="12" spans="3:19" x14ac:dyDescent="0.25">
      <c r="C12" t="s">
        <v>9</v>
      </c>
      <c r="D12">
        <v>1600</v>
      </c>
      <c r="H12" s="11">
        <v>125</v>
      </c>
      <c r="I12" s="11">
        <v>300</v>
      </c>
      <c r="J12" t="s">
        <v>47</v>
      </c>
    </row>
    <row r="13" spans="3:19" x14ac:dyDescent="0.25">
      <c r="C13" s="5" t="s">
        <v>7</v>
      </c>
      <c r="D13">
        <f>D11-D12</f>
        <v>8654</v>
      </c>
    </row>
    <row r="14" spans="3:19" x14ac:dyDescent="0.25">
      <c r="C14" t="s">
        <v>11</v>
      </c>
      <c r="D14">
        <v>100</v>
      </c>
    </row>
    <row r="15" spans="3:19" x14ac:dyDescent="0.25">
      <c r="C15" t="s">
        <v>21</v>
      </c>
      <c r="D15" s="6">
        <f>(D14*D13)/43560</f>
        <v>19.866850321395777</v>
      </c>
    </row>
    <row r="16" spans="3:19" x14ac:dyDescent="0.25">
      <c r="C16" t="s">
        <v>24</v>
      </c>
      <c r="D16">
        <v>72</v>
      </c>
    </row>
    <row r="17" spans="3:19" x14ac:dyDescent="0.25">
      <c r="C17" t="s">
        <v>19</v>
      </c>
      <c r="D17" s="10">
        <v>0.1</v>
      </c>
    </row>
    <row r="18" spans="3:19" x14ac:dyDescent="0.25">
      <c r="C18" t="s">
        <v>23</v>
      </c>
      <c r="D18" s="9">
        <f>(D17*D16)+D16</f>
        <v>79.2</v>
      </c>
    </row>
    <row r="19" spans="3:19" x14ac:dyDescent="0.25">
      <c r="C19" t="s">
        <v>20</v>
      </c>
      <c r="D19" s="9">
        <f>D18*D15</f>
        <v>1573.4545454545455</v>
      </c>
    </row>
    <row r="20" spans="3:19" x14ac:dyDescent="0.25">
      <c r="C20" t="s">
        <v>25</v>
      </c>
      <c r="D20">
        <v>2</v>
      </c>
    </row>
    <row r="21" spans="3:19" x14ac:dyDescent="0.25">
      <c r="C21" t="s">
        <v>26</v>
      </c>
      <c r="D21" s="9">
        <f>D19*D20</f>
        <v>3146.909090909091</v>
      </c>
      <c r="F21" s="13">
        <f>$I$3*D21</f>
        <v>629381.81818181823</v>
      </c>
    </row>
    <row r="22" spans="3:19" x14ac:dyDescent="0.25">
      <c r="C22" t="s">
        <v>37</v>
      </c>
      <c r="D22">
        <v>4</v>
      </c>
    </row>
    <row r="23" spans="3:19" x14ac:dyDescent="0.25">
      <c r="C23" t="s">
        <v>22</v>
      </c>
      <c r="D23" s="9">
        <f>D21*D22</f>
        <v>12587.636363636364</v>
      </c>
      <c r="F23" s="11">
        <f>$I$4*D23</f>
        <v>377629.09090909094</v>
      </c>
    </row>
    <row r="24" spans="3:19" x14ac:dyDescent="0.25">
      <c r="E24" t="s">
        <v>88</v>
      </c>
      <c r="F24" s="13">
        <f>SUM(F21:F23)</f>
        <v>1007010.9090909092</v>
      </c>
      <c r="G24" t="s">
        <v>89</v>
      </c>
      <c r="H24" s="6">
        <f>D13/5280</f>
        <v>1.6390151515151514</v>
      </c>
      <c r="I24" t="s">
        <v>90</v>
      </c>
    </row>
    <row r="25" spans="3:19" x14ac:dyDescent="0.25">
      <c r="E25" s="14" t="s">
        <v>91</v>
      </c>
      <c r="F25" s="13">
        <f>F24/H24</f>
        <v>614400.00000000012</v>
      </c>
      <c r="O25" t="s">
        <v>13</v>
      </c>
    </row>
    <row r="26" spans="3:19" x14ac:dyDescent="0.25">
      <c r="E26" s="14" t="s">
        <v>97</v>
      </c>
      <c r="F26" s="17">
        <v>20</v>
      </c>
      <c r="O26" t="s">
        <v>18</v>
      </c>
      <c r="Q26" s="7" t="s">
        <v>16</v>
      </c>
      <c r="R26" s="9">
        <f>23/0.3174</f>
        <v>72.463768115942031</v>
      </c>
      <c r="S26" t="s">
        <v>17</v>
      </c>
    </row>
    <row r="27" spans="3:19" x14ac:dyDescent="0.25">
      <c r="E27" s="14" t="s">
        <v>92</v>
      </c>
      <c r="F27" s="11">
        <f>F26*(D21+D23)</f>
        <v>314690.90909090912</v>
      </c>
      <c r="I27" s="9"/>
    </row>
    <row r="28" spans="3:19" x14ac:dyDescent="0.25">
      <c r="E28" s="14" t="s">
        <v>94</v>
      </c>
      <c r="F28">
        <v>0.25</v>
      </c>
    </row>
    <row r="29" spans="3:19" x14ac:dyDescent="0.25">
      <c r="E29" t="s">
        <v>10</v>
      </c>
      <c r="F29" s="13">
        <f>F24+F27</f>
        <v>1321701.8181818184</v>
      </c>
    </row>
    <row r="30" spans="3:19" x14ac:dyDescent="0.25">
      <c r="E30" s="14" t="s">
        <v>93</v>
      </c>
      <c r="F30" s="11">
        <f>F28*F29</f>
        <v>330425.45454545459</v>
      </c>
    </row>
    <row r="31" spans="3:19" x14ac:dyDescent="0.25">
      <c r="E31" s="14" t="s">
        <v>95</v>
      </c>
      <c r="F31" s="13">
        <f>F29+F30</f>
        <v>1652127.2727272729</v>
      </c>
    </row>
    <row r="33" spans="3:9" ht="15.75" x14ac:dyDescent="0.25">
      <c r="C33" s="3" t="s">
        <v>3</v>
      </c>
    </row>
    <row r="34" spans="3:9" ht="15.75" x14ac:dyDescent="0.25">
      <c r="C34" s="2" t="s">
        <v>4</v>
      </c>
    </row>
    <row r="35" spans="3:9" ht="15.75" x14ac:dyDescent="0.25">
      <c r="C35" s="2" t="s">
        <v>5</v>
      </c>
    </row>
    <row r="36" spans="3:9" x14ac:dyDescent="0.25">
      <c r="C36" t="s">
        <v>2</v>
      </c>
      <c r="D36">
        <f>D13</f>
        <v>8654</v>
      </c>
    </row>
    <row r="37" spans="3:9" x14ac:dyDescent="0.25">
      <c r="C37" t="s">
        <v>32</v>
      </c>
      <c r="D37">
        <v>50</v>
      </c>
    </row>
    <row r="38" spans="3:9" x14ac:dyDescent="0.25">
      <c r="C38" t="str">
        <f>C15</f>
        <v>total area (acres) =</v>
      </c>
      <c r="D38" s="8">
        <f>(D36*D37)/43560</f>
        <v>9.9334251606978885</v>
      </c>
    </row>
    <row r="39" spans="3:9" x14ac:dyDescent="0.25">
      <c r="C39" t="s">
        <v>34</v>
      </c>
      <c r="D39">
        <v>0.06</v>
      </c>
    </row>
    <row r="40" spans="3:9" x14ac:dyDescent="0.25">
      <c r="C40" t="s">
        <v>33</v>
      </c>
      <c r="D40" s="9">
        <f>(43560/D37)*D39</f>
        <v>52.271999999999998</v>
      </c>
    </row>
    <row r="41" spans="3:9" x14ac:dyDescent="0.25">
      <c r="C41" t="s">
        <v>35</v>
      </c>
      <c r="D41" s="9">
        <f>D40*D38</f>
        <v>519.24</v>
      </c>
    </row>
    <row r="42" spans="3:9" x14ac:dyDescent="0.25">
      <c r="C42" t="s">
        <v>36</v>
      </c>
      <c r="D42" s="9">
        <f>D41*2</f>
        <v>1038.48</v>
      </c>
      <c r="F42" s="13">
        <f>$I$3*D42</f>
        <v>207696</v>
      </c>
    </row>
    <row r="43" spans="3:9" x14ac:dyDescent="0.25">
      <c r="C43" t="s">
        <v>22</v>
      </c>
      <c r="D43" s="9">
        <f>D42*4</f>
        <v>4153.92</v>
      </c>
      <c r="F43" s="11">
        <f>$I$4*D43</f>
        <v>124617.60000000001</v>
      </c>
    </row>
    <row r="44" spans="3:9" x14ac:dyDescent="0.25">
      <c r="E44" t="s">
        <v>88</v>
      </c>
      <c r="F44" s="11">
        <f>SUM(F41:F43)</f>
        <v>332313.59999999998</v>
      </c>
      <c r="G44" t="s">
        <v>89</v>
      </c>
      <c r="H44" s="6">
        <f>D36/5280</f>
        <v>1.6390151515151514</v>
      </c>
      <c r="I44" t="s">
        <v>90</v>
      </c>
    </row>
    <row r="45" spans="3:9" x14ac:dyDescent="0.25">
      <c r="E45" s="14" t="s">
        <v>91</v>
      </c>
      <c r="F45" s="11">
        <f>F44/H44</f>
        <v>202752</v>
      </c>
    </row>
    <row r="46" spans="3:9" x14ac:dyDescent="0.25">
      <c r="E46" s="14" t="s">
        <v>97</v>
      </c>
      <c r="F46" s="17">
        <v>20</v>
      </c>
    </row>
    <row r="47" spans="3:9" x14ac:dyDescent="0.25">
      <c r="E47" s="14" t="s">
        <v>92</v>
      </c>
      <c r="F47" s="11">
        <f>F46*(D42+D43)</f>
        <v>103848</v>
      </c>
    </row>
    <row r="48" spans="3:9" x14ac:dyDescent="0.25">
      <c r="E48" s="14" t="s">
        <v>94</v>
      </c>
      <c r="F48">
        <v>0.25</v>
      </c>
    </row>
    <row r="49" spans="3:12" x14ac:dyDescent="0.25">
      <c r="E49" t="s">
        <v>10</v>
      </c>
      <c r="F49" s="17">
        <f>F44+F47</f>
        <v>436161.6</v>
      </c>
    </row>
    <row r="50" spans="3:12" x14ac:dyDescent="0.25">
      <c r="E50" s="14" t="s">
        <v>93</v>
      </c>
      <c r="F50" s="17">
        <f>F48*F49</f>
        <v>109040.4</v>
      </c>
    </row>
    <row r="51" spans="3:12" x14ac:dyDescent="0.25">
      <c r="E51" s="14" t="s">
        <v>95</v>
      </c>
      <c r="F51" s="17">
        <f>F49+F50</f>
        <v>545202</v>
      </c>
    </row>
    <row r="53" spans="3:12" x14ac:dyDescent="0.25">
      <c r="C53" t="s">
        <v>96</v>
      </c>
      <c r="F53" s="13">
        <f>F31+F51</f>
        <v>2197329.2727272729</v>
      </c>
    </row>
    <row r="56" spans="3:12" ht="15.75" x14ac:dyDescent="0.25">
      <c r="C56" s="3" t="s">
        <v>101</v>
      </c>
      <c r="J56" t="s">
        <v>103</v>
      </c>
    </row>
    <row r="57" spans="3:12" x14ac:dyDescent="0.25">
      <c r="J57">
        <v>10</v>
      </c>
      <c r="K57" t="s">
        <v>110</v>
      </c>
    </row>
    <row r="58" spans="3:12" x14ac:dyDescent="0.25">
      <c r="C58" t="s">
        <v>99</v>
      </c>
      <c r="D58">
        <v>1.7</v>
      </c>
    </row>
    <row r="59" spans="3:12" x14ac:dyDescent="0.25">
      <c r="C59" t="s">
        <v>100</v>
      </c>
      <c r="D59">
        <v>10</v>
      </c>
      <c r="E59" t="s">
        <v>116</v>
      </c>
      <c r="J59" t="s">
        <v>106</v>
      </c>
    </row>
    <row r="60" spans="3:12" x14ac:dyDescent="0.25">
      <c r="C60" t="s">
        <v>102</v>
      </c>
      <c r="D60">
        <f>((D58*43560)*D59)*0.037037</f>
        <v>27426.63924</v>
      </c>
      <c r="E60" t="s">
        <v>117</v>
      </c>
      <c r="K60" t="s">
        <v>107</v>
      </c>
    </row>
    <row r="61" spans="3:12" x14ac:dyDescent="0.25">
      <c r="C61" t="s">
        <v>120</v>
      </c>
      <c r="D61" s="11">
        <f>D60*J57</f>
        <v>274266.39240000001</v>
      </c>
      <c r="K61">
        <v>10</v>
      </c>
      <c r="L61" t="s">
        <v>109</v>
      </c>
    </row>
    <row r="62" spans="3:12" x14ac:dyDescent="0.25">
      <c r="C62" t="s">
        <v>104</v>
      </c>
      <c r="D62" s="13">
        <f>K70*D58</f>
        <v>85000</v>
      </c>
      <c r="K62" t="s">
        <v>108</v>
      </c>
    </row>
    <row r="63" spans="3:12" x14ac:dyDescent="0.25">
      <c r="C63" t="s">
        <v>105</v>
      </c>
      <c r="D63" s="13">
        <f>D58*K67</f>
        <v>170000</v>
      </c>
      <c r="K63">
        <v>150</v>
      </c>
      <c r="L63" t="s">
        <v>109</v>
      </c>
    </row>
    <row r="65" spans="3:12" x14ac:dyDescent="0.25">
      <c r="E65" t="s">
        <v>121</v>
      </c>
      <c r="F65" s="13">
        <f>SUM(D61:D63)</f>
        <v>529266.39240000001</v>
      </c>
    </row>
    <row r="66" spans="3:12" x14ac:dyDescent="0.25">
      <c r="J66" t="s">
        <v>113</v>
      </c>
    </row>
    <row r="67" spans="3:12" ht="15.75" x14ac:dyDescent="0.25">
      <c r="C67" s="3" t="s">
        <v>98</v>
      </c>
      <c r="K67" s="11">
        <v>100000</v>
      </c>
      <c r="L67" t="s">
        <v>114</v>
      </c>
    </row>
    <row r="68" spans="3:12" x14ac:dyDescent="0.25">
      <c r="C68" t="s">
        <v>111</v>
      </c>
      <c r="D68">
        <f>43560*D69</f>
        <v>958320</v>
      </c>
    </row>
    <row r="69" spans="3:12" x14ac:dyDescent="0.25">
      <c r="C69" t="s">
        <v>99</v>
      </c>
      <c r="D69">
        <v>22</v>
      </c>
      <c r="J69" t="s">
        <v>115</v>
      </c>
    </row>
    <row r="70" spans="3:12" x14ac:dyDescent="0.25">
      <c r="C70" t="s">
        <v>100</v>
      </c>
      <c r="D70">
        <v>15</v>
      </c>
      <c r="K70" s="11">
        <v>50000</v>
      </c>
      <c r="L70" t="s">
        <v>114</v>
      </c>
    </row>
    <row r="71" spans="3:12" x14ac:dyDescent="0.25">
      <c r="C71" t="s">
        <v>112</v>
      </c>
      <c r="D71">
        <f>(D68*D70)/27</f>
        <v>532400</v>
      </c>
    </row>
    <row r="72" spans="3:12" x14ac:dyDescent="0.25">
      <c r="C72" t="s">
        <v>120</v>
      </c>
      <c r="D72" s="11">
        <f>D71*J57</f>
        <v>5324000</v>
      </c>
    </row>
    <row r="73" spans="3:12" x14ac:dyDescent="0.25">
      <c r="C73" t="str">
        <f>C62</f>
        <v>Grading</v>
      </c>
      <c r="D73" s="13">
        <f>K70*D69</f>
        <v>1100000</v>
      </c>
    </row>
    <row r="74" spans="3:12" x14ac:dyDescent="0.25">
      <c r="C74" t="str">
        <f>C63</f>
        <v>Planting</v>
      </c>
      <c r="D74" s="13">
        <f>K67*D69</f>
        <v>2200000</v>
      </c>
    </row>
    <row r="76" spans="3:12" x14ac:dyDescent="0.25">
      <c r="C76" t="s">
        <v>118</v>
      </c>
      <c r="D76">
        <v>5280</v>
      </c>
    </row>
    <row r="77" spans="3:12" x14ac:dyDescent="0.25">
      <c r="C77" t="s">
        <v>119</v>
      </c>
      <c r="D77" s="11">
        <f>(0.5*K61*D76)+(0.5*D76*K63)</f>
        <v>422400</v>
      </c>
    </row>
    <row r="79" spans="3:12" x14ac:dyDescent="0.25">
      <c r="E79" t="s">
        <v>121</v>
      </c>
      <c r="F79" s="13">
        <f>D77+D74+D73+D72</f>
        <v>9046400</v>
      </c>
    </row>
    <row r="83" spans="5:6" x14ac:dyDescent="0.25">
      <c r="E83" t="s">
        <v>122</v>
      </c>
      <c r="F83" s="13">
        <f>F79+F65+F53</f>
        <v>11772995.665127274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1"/>
  <sheetViews>
    <sheetView workbookViewId="0">
      <selection activeCell="E22" sqref="E22"/>
    </sheetView>
  </sheetViews>
  <sheetFormatPr defaultColWidth="8.85546875" defaultRowHeight="15" x14ac:dyDescent="0.25"/>
  <sheetData>
    <row r="4" spans="2:4" x14ac:dyDescent="0.25">
      <c r="B4" s="15" t="s">
        <v>49</v>
      </c>
      <c r="C4" s="15" t="s">
        <v>50</v>
      </c>
      <c r="D4" s="15" t="s">
        <v>51</v>
      </c>
    </row>
    <row r="5" spans="2:4" x14ac:dyDescent="0.25">
      <c r="B5" s="15" t="s">
        <v>52</v>
      </c>
      <c r="C5" s="15" t="s">
        <v>53</v>
      </c>
      <c r="D5" s="15" t="s">
        <v>54</v>
      </c>
    </row>
    <row r="6" spans="2:4" x14ac:dyDescent="0.25">
      <c r="B6" s="15" t="s">
        <v>55</v>
      </c>
      <c r="C6" s="15" t="s">
        <v>56</v>
      </c>
      <c r="D6" s="15" t="s">
        <v>57</v>
      </c>
    </row>
    <row r="7" spans="2:4" x14ac:dyDescent="0.25">
      <c r="B7" s="15" t="s">
        <v>58</v>
      </c>
      <c r="D7" s="15" t="s">
        <v>59</v>
      </c>
    </row>
    <row r="8" spans="2:4" x14ac:dyDescent="0.25">
      <c r="B8" s="15" t="s">
        <v>60</v>
      </c>
      <c r="C8" s="15" t="s">
        <v>53</v>
      </c>
      <c r="D8" s="15" t="s">
        <v>61</v>
      </c>
    </row>
    <row r="9" spans="2:4" x14ac:dyDescent="0.25">
      <c r="B9" s="15" t="s">
        <v>62</v>
      </c>
      <c r="C9" s="15" t="s">
        <v>56</v>
      </c>
      <c r="D9" s="15" t="s">
        <v>63</v>
      </c>
    </row>
    <row r="10" spans="2:4" x14ac:dyDescent="0.25">
      <c r="B10" s="15" t="s">
        <v>64</v>
      </c>
      <c r="C10" s="15" t="s">
        <v>65</v>
      </c>
      <c r="D10" s="15" t="s">
        <v>66</v>
      </c>
    </row>
    <row r="11" spans="2:4" x14ac:dyDescent="0.25">
      <c r="B11" s="15" t="s">
        <v>67</v>
      </c>
      <c r="C11" s="15" t="s">
        <v>50</v>
      </c>
      <c r="D11" s="15" t="s">
        <v>68</v>
      </c>
    </row>
    <row r="12" spans="2:4" x14ac:dyDescent="0.25">
      <c r="B12" s="15" t="s">
        <v>60</v>
      </c>
      <c r="C12" s="15" t="s">
        <v>53</v>
      </c>
      <c r="D12" s="15" t="s">
        <v>69</v>
      </c>
    </row>
    <row r="13" spans="2:4" x14ac:dyDescent="0.25">
      <c r="B13" s="15" t="s">
        <v>62</v>
      </c>
      <c r="C13" s="15" t="s">
        <v>56</v>
      </c>
      <c r="D13" s="15" t="s">
        <v>70</v>
      </c>
    </row>
    <row r="14" spans="2:4" x14ac:dyDescent="0.25">
      <c r="B14" s="15" t="s">
        <v>64</v>
      </c>
      <c r="C14" s="15" t="s">
        <v>65</v>
      </c>
      <c r="D14" s="15" t="s">
        <v>71</v>
      </c>
    </row>
    <row r="15" spans="2:4" x14ac:dyDescent="0.25">
      <c r="B15" s="15" t="s">
        <v>72</v>
      </c>
      <c r="C15" s="15" t="s">
        <v>73</v>
      </c>
      <c r="D15" s="15" t="s">
        <v>74</v>
      </c>
    </row>
    <row r="16" spans="2:4" x14ac:dyDescent="0.25">
      <c r="B16" s="15" t="s">
        <v>75</v>
      </c>
      <c r="C16" s="15" t="s">
        <v>76</v>
      </c>
      <c r="D16" s="15" t="s">
        <v>77</v>
      </c>
    </row>
    <row r="17" spans="2:4" x14ac:dyDescent="0.25">
      <c r="B17" s="15" t="s">
        <v>78</v>
      </c>
      <c r="D17" s="15" t="s">
        <v>79</v>
      </c>
    </row>
    <row r="18" spans="2:4" x14ac:dyDescent="0.25">
      <c r="B18" s="15" t="s">
        <v>80</v>
      </c>
      <c r="D18" s="15" t="s">
        <v>81</v>
      </c>
    </row>
    <row r="19" spans="2:4" x14ac:dyDescent="0.25">
      <c r="B19" s="15" t="s">
        <v>82</v>
      </c>
      <c r="D19" s="15" t="s">
        <v>83</v>
      </c>
    </row>
    <row r="20" spans="2:4" x14ac:dyDescent="0.25">
      <c r="B20" s="15" t="s">
        <v>85</v>
      </c>
      <c r="D20" s="15" t="s">
        <v>84</v>
      </c>
    </row>
    <row r="21" spans="2:4" ht="15.75" x14ac:dyDescent="0.25">
      <c r="B21" s="15" t="s">
        <v>87</v>
      </c>
      <c r="D21" s="15" t="s">
        <v>86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concepts</vt:lpstr>
      <vt:lpstr>log grades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Abbe</dc:creator>
  <cp:lastModifiedBy>Mitchell Long</cp:lastModifiedBy>
  <dcterms:created xsi:type="dcterms:W3CDTF">2014-02-24T19:24:04Z</dcterms:created>
  <dcterms:modified xsi:type="dcterms:W3CDTF">2015-08-10T19:00:33Z</dcterms:modified>
</cp:coreProperties>
</file>